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filterPrivacy="1" defaultThemeVersion="124226"/>
  <xr:revisionPtr revIDLastSave="0" documentId="13_ncr:1_{451CBB4B-06A3-411B-ACEC-CB957151C8FB}" xr6:coauthVersionLast="36" xr6:coauthVersionMax="36" xr10:uidLastSave="{00000000-0000-0000-0000-000000000000}"/>
  <bookViews>
    <workbookView xWindow="240" yWindow="285" windowWidth="14805" windowHeight="7830" xr2:uid="{00000000-000D-0000-FFFF-FFFF00000000}"/>
  </bookViews>
  <sheets>
    <sheet name="Расчет" sheetId="4" r:id="rId1"/>
  </sheets>
  <definedNames>
    <definedName name="Диаметр" localSheetId="0">Расчет!$C$19:$I$19</definedName>
    <definedName name="Диаметр">#REF!</definedName>
    <definedName name="заправка" localSheetId="0">Расчет!$C$20:$I$20</definedName>
    <definedName name="заправка">#REF!</definedName>
  </definedNames>
  <calcPr calcId="191029"/>
</workbook>
</file>

<file path=xl/calcChain.xml><?xml version="1.0" encoding="utf-8"?>
<calcChain xmlns="http://schemas.openxmlformats.org/spreadsheetml/2006/main">
  <c r="K24" i="4" l="1"/>
  <c r="K21" i="4"/>
  <c r="L24" i="4"/>
  <c r="I24" i="4"/>
  <c r="G24" i="4"/>
  <c r="F24" i="4"/>
  <c r="E24" i="4"/>
  <c r="D24" i="4"/>
  <c r="C24" i="4"/>
  <c r="C10" i="4"/>
  <c r="I52" i="4" l="1"/>
  <c r="G52" i="4"/>
  <c r="F52" i="4"/>
  <c r="E52" i="4"/>
  <c r="D52" i="4"/>
  <c r="C52" i="4"/>
  <c r="B52" i="4"/>
  <c r="I51" i="4"/>
  <c r="G51" i="4"/>
  <c r="F51" i="4"/>
  <c r="B51" i="4" s="1"/>
  <c r="E51" i="4"/>
  <c r="D51" i="4"/>
  <c r="C51" i="4"/>
  <c r="C50" i="4"/>
  <c r="G47" i="4"/>
  <c r="F47" i="4"/>
  <c r="E47" i="4"/>
  <c r="B47" i="4" s="1"/>
  <c r="D23" i="4" s="1"/>
  <c r="D47" i="4"/>
  <c r="C47" i="4"/>
  <c r="G46" i="4"/>
  <c r="F46" i="4"/>
  <c r="E46" i="4"/>
  <c r="B46" i="4" s="1"/>
  <c r="E10" i="4" s="1"/>
  <c r="D46" i="4"/>
  <c r="C46" i="4"/>
  <c r="C45" i="4"/>
  <c r="L21" i="4"/>
  <c r="I21" i="4"/>
  <c r="G21" i="4"/>
  <c r="F21" i="4"/>
  <c r="E21" i="4"/>
  <c r="D21" i="4"/>
  <c r="C21" i="4"/>
  <c r="C6" i="4" s="1"/>
  <c r="E6" i="4" s="1"/>
  <c r="C9" i="4"/>
  <c r="E9" i="4" s="1"/>
  <c r="C8" i="4"/>
  <c r="E23" i="4" l="1"/>
  <c r="F23" i="4"/>
  <c r="I23" i="4"/>
  <c r="C7" i="4" s="1"/>
  <c r="E7" i="4" s="1"/>
  <c r="G23" i="4"/>
  <c r="C23" i="4"/>
  <c r="L23" i="4"/>
  <c r="K23" i="4"/>
  <c r="E12" i="4"/>
  <c r="A13" i="4" s="1"/>
  <c r="E8" i="4"/>
  <c r="K20" i="4"/>
  <c r="E20" i="4"/>
  <c r="I20" i="4"/>
  <c r="F20" i="4"/>
  <c r="D20" i="4"/>
  <c r="G20" i="4"/>
  <c r="C20" i="4"/>
  <c r="L20" i="4"/>
  <c r="E11" i="4" l="1"/>
</calcChain>
</file>

<file path=xl/sharedStrings.xml><?xml version="1.0" encoding="utf-8"?>
<sst xmlns="http://schemas.openxmlformats.org/spreadsheetml/2006/main" count="148" uniqueCount="90">
  <si>
    <t>диаметр трубы х Толщина стенки, мм</t>
  </si>
  <si>
    <t>9,52х0,81</t>
  </si>
  <si>
    <t>12,7х0,81</t>
  </si>
  <si>
    <t>15,88х1,02</t>
  </si>
  <si>
    <t>22,22х1,4</t>
  </si>
  <si>
    <t>Заправка одного метра трубы, кг</t>
  </si>
  <si>
    <t>Внутренний объем 1 м трубы, м куб</t>
  </si>
  <si>
    <t>Коэффициенты корректировки  по плотности</t>
  </si>
  <si>
    <t>Плотность в состоянии насыщения( конденсация)</t>
  </si>
  <si>
    <t>температура конденсации</t>
  </si>
  <si>
    <t xml:space="preserve">жидкость  </t>
  </si>
  <si>
    <t>пар</t>
  </si>
  <si>
    <t>Плотность в состоянии насыщения( кипение)</t>
  </si>
  <si>
    <t>Температура конденсации</t>
  </si>
  <si>
    <t>K1</t>
  </si>
  <si>
    <t>K2</t>
  </si>
  <si>
    <t>Температура кипения</t>
  </si>
  <si>
    <t>K3</t>
  </si>
  <si>
    <t>K4</t>
  </si>
  <si>
    <t>28,58х1,83</t>
  </si>
  <si>
    <t>34,92х2,03</t>
  </si>
  <si>
    <t>41,28х2,41</t>
  </si>
  <si>
    <t>Внутренний объем конденсатора, л</t>
  </si>
  <si>
    <t>Внутренний объем испарителя, л</t>
  </si>
  <si>
    <t>Диаметр жидкостного трубопровода хладагента, мм</t>
  </si>
  <si>
    <t>Температура конденсации хладагента R410A, ℃</t>
  </si>
  <si>
    <t>Температура кипения R410A,℃</t>
  </si>
  <si>
    <t>Внутренний объем ресивера, л</t>
  </si>
  <si>
    <t>Масса R410A, кг</t>
  </si>
  <si>
    <t>Диаметр газового трубопровода хладагента, мм</t>
  </si>
  <si>
    <t>19,05х1,14</t>
  </si>
  <si>
    <t xml:space="preserve"> Необходимый объем ресивера дл слива избытка хладегнта летом ( с учетом заполнения не более 80%), л</t>
  </si>
  <si>
    <t>Итого заправка хладагента, кг</t>
  </si>
  <si>
    <t>РАСЧЕТ ЗАПРАВКИ ХЛАДАГЕНТА R410A В ПРЕЦИЗИОННЫЕ КОНДИЦИОНЕРЫ LESSAR С НИЗКОТЕМПЕРАТУРНЫМ КОМПЛЕКТОМ</t>
  </si>
  <si>
    <t>Длина, м</t>
  </si>
  <si>
    <t>Внутренние объемы испарителей, л</t>
  </si>
  <si>
    <t xml:space="preserve"> LSP-</t>
  </si>
  <si>
    <t>VCA005</t>
  </si>
  <si>
    <t>VCA007</t>
  </si>
  <si>
    <t>VCA012</t>
  </si>
  <si>
    <t>VCA017</t>
  </si>
  <si>
    <t>VCA020</t>
  </si>
  <si>
    <t>VCA026</t>
  </si>
  <si>
    <t>VCA032</t>
  </si>
  <si>
    <t>VCA035</t>
  </si>
  <si>
    <t>VCA040</t>
  </si>
  <si>
    <t>VCA045</t>
  </si>
  <si>
    <t>VCA050</t>
  </si>
  <si>
    <t>Внутренние объемы конденсаторов, л</t>
  </si>
  <si>
    <t xml:space="preserve"> LUE-</t>
  </si>
  <si>
    <t>VCP007</t>
  </si>
  <si>
    <t>0050D</t>
  </si>
  <si>
    <t>VCP010</t>
  </si>
  <si>
    <t>VCP018</t>
  </si>
  <si>
    <t>VCP024</t>
  </si>
  <si>
    <t>VCP028</t>
  </si>
  <si>
    <t>VCP035</t>
  </si>
  <si>
    <t>VCP040</t>
  </si>
  <si>
    <t>VCP050</t>
  </si>
  <si>
    <t>VCP056</t>
  </si>
  <si>
    <t>VCP066</t>
  </si>
  <si>
    <t>Внутренние объемы  ресиверов при протяженности трассы трубопроводов до 30 м, л</t>
  </si>
  <si>
    <t>Внутренние объемы  ресиверов при протяженности трассы трубопроводов до 60 м, л</t>
  </si>
  <si>
    <t>Для прецизионных кондиционеров, имеющих несколько фреоновых контуров расчет необходимо производить для каждого фреонового контура отдельно, Для расчета необходимо заполнять только серые ячейки.
Для расчета заправки системы хладагентом необходимо:
1) Из выпадающих списков выбрать: температуру конденсации хладагента*, температуру кипения хладагента*, диаметр жидкостного и газового фреонопровода.
2) Ввести значения: длины жидкостного фреонопровода; внутреннего объема испарителя, внутреннего объема конденсатора и внутреннего объема ресивера.
Примечания:
*Рекомендуется принимать температуру кипения хладагента  на 15-17 ℃ ниже, чем температура  воздуха на входе в кондиционер.
Температуруконденсации хладагента следует принимать на 15-17℃ выше, чем  температура  наружного  воздуха.</t>
  </si>
  <si>
    <t>VCP076</t>
  </si>
  <si>
    <t>16,6</t>
  </si>
  <si>
    <t>VCA060</t>
  </si>
  <si>
    <t>VCA070</t>
  </si>
  <si>
    <t>VCA080</t>
  </si>
  <si>
    <t>VCA090</t>
  </si>
  <si>
    <t>VCA100</t>
  </si>
  <si>
    <t>VCA110</t>
  </si>
  <si>
    <t>VCA120</t>
  </si>
  <si>
    <t>9,15х2</t>
  </si>
  <si>
    <t>7,58х2</t>
  </si>
  <si>
    <t>7,58х3</t>
  </si>
  <si>
    <t>15,7 х2</t>
  </si>
  <si>
    <t>15,2</t>
  </si>
  <si>
    <t>11,3</t>
  </si>
  <si>
    <t>12,9</t>
  </si>
  <si>
    <t>16,1</t>
  </si>
  <si>
    <t>VCP088</t>
  </si>
  <si>
    <t>17,6</t>
  </si>
  <si>
    <t>30</t>
  </si>
  <si>
    <t>30x2</t>
  </si>
  <si>
    <t>VCA030</t>
  </si>
  <si>
    <t>VCP038</t>
  </si>
  <si>
    <t>VCA025</t>
  </si>
  <si>
    <t>VCP034</t>
  </si>
  <si>
    <t>22x2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</si>
</sst>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2" fillId="0" borderId="0"/>
  </cellStyleXfs>
  <cellXfs count="67">
    <xf numFmtId="0" fontId="0" fillId="0" borderId="0" xfId="0"/>
    <xf numFmtId="0" fontId="0" fillId="0" borderId="5" xfId="0" applyBorder="1"/>
    <xf numFmtId="0" fontId="0" fillId="0" borderId="6" xfId="0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3" fillId="4" borderId="0" xfId="0" applyFont="1" applyFill="1" applyBorder="1"/>
    <xf numFmtId="164" fontId="3" fillId="4" borderId="0" xfId="0" applyNumberFormat="1" applyFont="1" applyFill="1" applyBorder="1"/>
    <xf numFmtId="165" fontId="3" fillId="4" borderId="0" xfId="0" applyNumberFormat="1" applyFont="1" applyFill="1" applyBorder="1"/>
    <xf numFmtId="0" fontId="0" fillId="0" borderId="0" xfId="0"/>
    <xf numFmtId="0" fontId="0" fillId="3" borderId="1" xfId="0" applyFill="1" applyBorder="1" applyAlignment="1" applyProtection="1">
      <alignment horizontal="center"/>
      <protection locked="0"/>
    </xf>
    <xf numFmtId="0" fontId="0" fillId="2" borderId="5" xfId="0" applyFill="1" applyBorder="1"/>
    <xf numFmtId="0" fontId="0" fillId="2" borderId="1" xfId="0" applyFill="1" applyBorder="1"/>
    <xf numFmtId="0" fontId="0" fillId="5" borderId="0" xfId="0" applyFill="1"/>
    <xf numFmtId="0" fontId="4" fillId="0" borderId="0" xfId="0" applyFont="1"/>
    <xf numFmtId="0" fontId="5" fillId="0" borderId="0" xfId="0" applyFont="1"/>
    <xf numFmtId="0" fontId="3" fillId="0" borderId="0" xfId="0" applyFont="1"/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0" fillId="4" borderId="0" xfId="0" applyFont="1" applyFill="1" applyBorder="1" applyAlignment="1">
      <alignment horizontal="center" wrapText="1"/>
    </xf>
    <xf numFmtId="164" fontId="0" fillId="4" borderId="0" xfId="0" applyNumberFormat="1" applyFont="1" applyFill="1" applyBorder="1"/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2" fontId="10" fillId="4" borderId="0" xfId="0" applyNumberFormat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2" fontId="2" fillId="4" borderId="8" xfId="0" applyNumberFormat="1" applyFont="1" applyFill="1" applyBorder="1" applyAlignment="1">
      <alignment horizontal="center" vertical="center" wrapText="1"/>
    </xf>
    <xf numFmtId="2" fontId="10" fillId="0" borderId="0" xfId="0" applyNumberFormat="1" applyFont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0" fillId="0" borderId="7" xfId="0" applyBorder="1" applyAlignment="1">
      <alignment wrapText="1"/>
    </xf>
    <xf numFmtId="0" fontId="0" fillId="0" borderId="8" xfId="0" applyBorder="1"/>
    <xf numFmtId="164" fontId="0" fillId="0" borderId="9" xfId="0" applyNumberFormat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0" fillId="6" borderId="8" xfId="2" applyFont="1" applyFill="1" applyBorder="1" applyAlignment="1">
      <alignment horizontal="center" vertical="center"/>
    </xf>
    <xf numFmtId="0" fontId="0" fillId="6" borderId="8" xfId="0" applyFont="1" applyFill="1" applyBorder="1"/>
    <xf numFmtId="49" fontId="0" fillId="6" borderId="8" xfId="2" applyNumberFormat="1" applyFont="1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49" fontId="0" fillId="6" borderId="8" xfId="0" applyNumberFormat="1" applyFill="1" applyBorder="1" applyAlignment="1">
      <alignment horizontal="center" vertical="center"/>
    </xf>
    <xf numFmtId="49" fontId="0" fillId="6" borderId="9" xfId="0" applyNumberFormat="1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6" fillId="2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49" fontId="0" fillId="6" borderId="13" xfId="2" applyNumberFormat="1" applyFont="1" applyFill="1" applyBorder="1" applyAlignment="1">
      <alignment horizontal="center" vertical="center"/>
    </xf>
    <xf numFmtId="0" fontId="6" fillId="2" borderId="2" xfId="0" applyFont="1" applyFill="1" applyBorder="1"/>
    <xf numFmtId="0" fontId="6" fillId="2" borderId="3" xfId="0" applyFont="1" applyFill="1" applyBorder="1"/>
    <xf numFmtId="0" fontId="6" fillId="2" borderId="4" xfId="0" applyFont="1" applyFill="1" applyBorder="1"/>
    <xf numFmtId="49" fontId="0" fillId="6" borderId="7" xfId="2" applyNumberFormat="1" applyFont="1" applyFill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11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</cellXfs>
  <cellStyles count="3">
    <cellStyle name="Обычный" xfId="0" builtinId="0"/>
    <cellStyle name="Обычный 2" xfId="2" xr:uid="{0B6584EA-D287-4791-A0DF-28DFA4BB8825}"/>
    <cellStyle name="常规 2" xfId="1" xr:uid="{E1D55E23-E825-4CB8-A550-8CF810CFF20B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73"/>
  <sheetViews>
    <sheetView tabSelected="1" workbookViewId="0">
      <selection activeCell="J73" sqref="J73"/>
    </sheetView>
  </sheetViews>
  <sheetFormatPr defaultRowHeight="15" x14ac:dyDescent="0.25"/>
  <cols>
    <col min="1" max="1" width="53.42578125" customWidth="1"/>
    <col min="2" max="2" width="10.85546875" customWidth="1"/>
    <col min="3" max="3" width="21.5703125" hidden="1" customWidth="1"/>
    <col min="4" max="4" width="9.7109375" customWidth="1"/>
    <col min="5" max="5" width="15.7109375" customWidth="1"/>
    <col min="6" max="6" width="11" customWidth="1"/>
    <col min="7" max="7" width="15.5703125" customWidth="1"/>
    <col min="8" max="8" width="15.5703125" style="9" customWidth="1"/>
    <col min="9" max="9" width="12.28515625" customWidth="1"/>
    <col min="10" max="10" width="12.28515625" style="9" customWidth="1"/>
    <col min="11" max="11" width="10.5703125" customWidth="1"/>
    <col min="12" max="12" width="13.140625" customWidth="1"/>
    <col min="13" max="14" width="9.140625" customWidth="1"/>
    <col min="16" max="18" width="9.140625" customWidth="1"/>
  </cols>
  <sheetData>
    <row r="1" spans="1:16" s="9" customFormat="1" x14ac:dyDescent="0.25">
      <c r="A1" s="62" t="s">
        <v>33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6" s="9" customFormat="1" ht="153.75" customHeight="1" thickBot="1" x14ac:dyDescent="0.3">
      <c r="A2" s="60" t="s">
        <v>63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6" x14ac:dyDescent="0.25">
      <c r="A3" s="3"/>
      <c r="B3" s="4"/>
      <c r="C3" s="4"/>
      <c r="D3" s="4" t="s">
        <v>34</v>
      </c>
      <c r="E3" s="5" t="s">
        <v>28</v>
      </c>
    </row>
    <row r="4" spans="1:16" x14ac:dyDescent="0.25">
      <c r="A4" s="1" t="s">
        <v>25</v>
      </c>
      <c r="B4" s="10">
        <v>50</v>
      </c>
      <c r="C4" s="22"/>
      <c r="D4" s="22"/>
      <c r="E4" s="2"/>
    </row>
    <row r="5" spans="1:16" x14ac:dyDescent="0.25">
      <c r="A5" s="21" t="s">
        <v>26</v>
      </c>
      <c r="B5" s="10">
        <v>7</v>
      </c>
      <c r="C5" s="22"/>
      <c r="D5" s="22"/>
      <c r="E5" s="25"/>
    </row>
    <row r="6" spans="1:16" x14ac:dyDescent="0.25">
      <c r="A6" s="1" t="s">
        <v>24</v>
      </c>
      <c r="B6" s="10" t="s">
        <v>3</v>
      </c>
      <c r="C6" s="23">
        <f>LOOKUP(B6,C19:L19,C21:L21)</f>
        <v>1.5039588920000001E-4</v>
      </c>
      <c r="D6" s="10">
        <v>30</v>
      </c>
      <c r="E6" s="59">
        <f>C6*D6*1326</f>
        <v>5.9827484723760005</v>
      </c>
    </row>
    <row r="7" spans="1:16" s="9" customFormat="1" x14ac:dyDescent="0.25">
      <c r="A7" s="1" t="s">
        <v>29</v>
      </c>
      <c r="B7" s="10" t="s">
        <v>30</v>
      </c>
      <c r="C7" s="23">
        <f>LOOKUP(B7,C22:L22,C23:L23)</f>
        <v>2.0852390037580004E-2</v>
      </c>
      <c r="D7" s="10">
        <v>30</v>
      </c>
      <c r="E7" s="59">
        <f>C7*D7</f>
        <v>0.62557170112740013</v>
      </c>
    </row>
    <row r="8" spans="1:16" x14ac:dyDescent="0.25">
      <c r="A8" s="1" t="s">
        <v>23</v>
      </c>
      <c r="B8" s="10">
        <v>6</v>
      </c>
      <c r="C8" s="24">
        <f>B8/1000</f>
        <v>6.0000000000000001E-3</v>
      </c>
      <c r="D8" s="22"/>
      <c r="E8" s="59">
        <f ca="1">0.5*C8*1146.9*B51+0.5*C8*38.3*B52</f>
        <v>3.5556000000000005</v>
      </c>
    </row>
    <row r="9" spans="1:16" x14ac:dyDescent="0.25">
      <c r="A9" s="1" t="s">
        <v>22</v>
      </c>
      <c r="B9" s="10">
        <v>5.5</v>
      </c>
      <c r="C9" s="24">
        <f>B9/1000</f>
        <v>5.4999999999999997E-3</v>
      </c>
      <c r="D9" s="22"/>
      <c r="E9" s="59">
        <f>1*C9*1326</f>
        <v>7.2929999999999993</v>
      </c>
    </row>
    <row r="10" spans="1:16" s="9" customFormat="1" x14ac:dyDescent="0.25">
      <c r="A10" s="1" t="s">
        <v>27</v>
      </c>
      <c r="B10" s="10">
        <v>11</v>
      </c>
      <c r="C10" s="24">
        <f>B10/1000</f>
        <v>1.0999999999999999E-2</v>
      </c>
      <c r="D10" s="22"/>
      <c r="E10" s="59">
        <f>0.1*C10*911.4*B46</f>
        <v>1.00254</v>
      </c>
    </row>
    <row r="11" spans="1:16" x14ac:dyDescent="0.25">
      <c r="A11" s="11" t="s">
        <v>32</v>
      </c>
      <c r="B11" s="12"/>
      <c r="C11" s="12"/>
      <c r="D11" s="12"/>
      <c r="E11" s="26">
        <f ca="1">E10+E9+E8+E7+E6</f>
        <v>18.459460173503402</v>
      </c>
    </row>
    <row r="12" spans="1:16" ht="36" customHeight="1" thickBot="1" x14ac:dyDescent="0.3">
      <c r="A12" s="37" t="s">
        <v>31</v>
      </c>
      <c r="B12" s="38"/>
      <c r="C12" s="38"/>
      <c r="D12" s="38"/>
      <c r="E12" s="39">
        <f>(1000*E9/911.4*B46-B9/2+1000*E6/911.4*B46-1000*C6*D6+1000*E10/911.4*B46)*1.25</f>
        <v>10.505560223104016</v>
      </c>
    </row>
    <row r="13" spans="1:16" x14ac:dyDescent="0.25">
      <c r="A13" s="13" t="str">
        <f>IF(E12&gt;B10, "Требуемый объем ресивера больше установленного!!! Обратитесь в службу технической поддержки", "Расчет корректен")</f>
        <v>Расчет корректен</v>
      </c>
    </row>
    <row r="14" spans="1:16" ht="13.5" customHeight="1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</row>
    <row r="15" spans="1:16" ht="0.75" hidden="1" customHeight="1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1:16" ht="0.75" hidden="1" customHeight="1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ht="2.25" hidden="1" customHeight="1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pans="1:16" hidden="1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5"/>
      <c r="N18" s="15"/>
      <c r="O18" s="15"/>
      <c r="P18" s="14"/>
    </row>
    <row r="19" spans="1:16" hidden="1" x14ac:dyDescent="0.25">
      <c r="A19" s="17" t="s">
        <v>0</v>
      </c>
      <c r="B19" s="17"/>
      <c r="C19" s="18" t="s">
        <v>2</v>
      </c>
      <c r="D19" s="18" t="s">
        <v>3</v>
      </c>
      <c r="E19" s="18" t="s">
        <v>4</v>
      </c>
      <c r="F19" s="18" t="s">
        <v>19</v>
      </c>
      <c r="G19" s="6" t="s">
        <v>20</v>
      </c>
      <c r="H19" s="6"/>
      <c r="I19" s="6" t="s">
        <v>21</v>
      </c>
      <c r="J19" s="6"/>
      <c r="K19" s="6" t="s">
        <v>30</v>
      </c>
      <c r="L19" s="6" t="s">
        <v>1</v>
      </c>
      <c r="M19" s="15"/>
      <c r="N19" s="15"/>
      <c r="O19" s="15"/>
      <c r="P19" s="14"/>
    </row>
    <row r="20" spans="1:16" hidden="1" x14ac:dyDescent="0.25">
      <c r="A20" s="19" t="s">
        <v>5</v>
      </c>
      <c r="B20" s="19"/>
      <c r="C20" s="20">
        <f>C21*911.4*B46</f>
        <v>8.7833098113600003E-2</v>
      </c>
      <c r="D20" s="20">
        <f>D21*911.4*B46</f>
        <v>0.13707081341688002</v>
      </c>
      <c r="E20" s="20">
        <f>E21*911.4*B46</f>
        <v>0.2698218602436</v>
      </c>
      <c r="F20" s="20">
        <f>F21*911.4*B46</f>
        <v>0.44429840787360003</v>
      </c>
      <c r="G20" s="7">
        <f>G21*911.4*B46</f>
        <v>0.68135041448040001</v>
      </c>
      <c r="H20" s="7"/>
      <c r="I20" s="7">
        <f>I21*911.4*B46</f>
        <v>0.95106896388840001</v>
      </c>
      <c r="J20" s="7"/>
      <c r="K20" s="7">
        <f>K21*911.4*B46</f>
        <v>0.20120779707210001</v>
      </c>
      <c r="L20" s="7">
        <f>L21*911.4*B46</f>
        <v>4.4651172090000017E-2</v>
      </c>
      <c r="M20" s="15"/>
      <c r="N20" s="15"/>
      <c r="O20" s="15"/>
      <c r="P20" s="14"/>
    </row>
    <row r="21" spans="1:16" hidden="1" x14ac:dyDescent="0.25">
      <c r="A21" s="17" t="s">
        <v>6</v>
      </c>
      <c r="B21" s="17"/>
      <c r="C21" s="18">
        <f>(3.14*0.01108*0.01108)/4</f>
        <v>9.6371624000000003E-5</v>
      </c>
      <c r="D21" s="18">
        <f>(3.14*0.013843*0.01384)/4</f>
        <v>1.5039588920000001E-4</v>
      </c>
      <c r="E21" s="18">
        <f>(3.14*0.01942*0.01942)/4</f>
        <v>2.9605207400000002E-4</v>
      </c>
      <c r="F21" s="18">
        <f>(3.14*0.02492*0.02492)/4</f>
        <v>4.8749002400000005E-4</v>
      </c>
      <c r="G21" s="6">
        <f>(3.14*0.03086*0.03086)/4</f>
        <v>7.47586586E-4</v>
      </c>
      <c r="H21" s="6"/>
      <c r="I21" s="6">
        <f>(3.14*0.03646*0.03646)/4</f>
        <v>1.0435253060000001E-3</v>
      </c>
      <c r="J21" s="6"/>
      <c r="K21" s="6">
        <f>(3.14*0.01677*0.01677)/4</f>
        <v>2.2076782650000003E-4</v>
      </c>
      <c r="L21" s="6">
        <f>(3.14*0.0079*0.0079)/4</f>
        <v>4.8991850000000018E-5</v>
      </c>
      <c r="M21" s="15"/>
      <c r="N21" s="15"/>
      <c r="O21" s="15"/>
      <c r="P21" s="14"/>
    </row>
    <row r="22" spans="1:16" ht="1.5" hidden="1" customHeight="1" x14ac:dyDescent="0.25">
      <c r="A22" s="18"/>
      <c r="B22" s="18"/>
      <c r="C22" s="18" t="s">
        <v>2</v>
      </c>
      <c r="D22" s="18" t="s">
        <v>3</v>
      </c>
      <c r="E22" s="18" t="s">
        <v>4</v>
      </c>
      <c r="F22" s="18" t="s">
        <v>19</v>
      </c>
      <c r="G22" s="6" t="s">
        <v>20</v>
      </c>
      <c r="H22" s="6"/>
      <c r="I22" s="6" t="s">
        <v>21</v>
      </c>
      <c r="J22" s="6"/>
      <c r="K22" s="6" t="s">
        <v>30</v>
      </c>
      <c r="L22" s="6" t="s">
        <v>1</v>
      </c>
      <c r="M22" s="15"/>
      <c r="N22" s="15"/>
      <c r="O22" s="15"/>
      <c r="P22" s="14"/>
    </row>
    <row r="23" spans="1:16" hidden="1" x14ac:dyDescent="0.25">
      <c r="A23" s="18"/>
      <c r="B23" s="18"/>
      <c r="C23" s="20">
        <f>C24*138.65*B47</f>
        <v>1.3361925667600002E-2</v>
      </c>
      <c r="D23" s="20">
        <f>D24*138.65*B47</f>
        <v>2.0852390037580004E-2</v>
      </c>
      <c r="E23" s="20">
        <f>E24*138.65*B47</f>
        <v>4.1047620060100001E-2</v>
      </c>
      <c r="F23" s="20">
        <f>F24*138.65*B47</f>
        <v>6.7590491827600005E-2</v>
      </c>
      <c r="G23" s="7">
        <f>G24*138.65*B47</f>
        <v>0.10365288014890001</v>
      </c>
      <c r="H23" s="7"/>
      <c r="I23" s="7">
        <f>I24*138.65*B47</f>
        <v>0.14468478367690002</v>
      </c>
      <c r="J23" s="7"/>
      <c r="K23" s="7">
        <f>K24*138.65*B46</f>
        <v>3.0609459144225006E-2</v>
      </c>
      <c r="L23" s="7">
        <f>L24*138.65*B46</f>
        <v>6.7927200025000032E-3</v>
      </c>
      <c r="M23" s="15"/>
      <c r="N23" s="15"/>
      <c r="O23" s="15"/>
      <c r="P23" s="14"/>
    </row>
    <row r="24" spans="1:16" ht="2.25" hidden="1" customHeight="1" x14ac:dyDescent="0.25">
      <c r="A24" s="18" t="s">
        <v>7</v>
      </c>
      <c r="B24" s="18"/>
      <c r="C24" s="18">
        <f>(3.14*0.01108*0.01108)/4</f>
        <v>9.6371624000000003E-5</v>
      </c>
      <c r="D24" s="18">
        <f>(3.14*0.013843*0.01384)/4</f>
        <v>1.5039588920000001E-4</v>
      </c>
      <c r="E24" s="18">
        <f>(3.14*0.01942*0.01942)/4</f>
        <v>2.9605207400000002E-4</v>
      </c>
      <c r="F24" s="18">
        <f>(3.14*0.02492*0.02492)/4</f>
        <v>4.8749002400000005E-4</v>
      </c>
      <c r="G24" s="6">
        <f>(3.14*0.03086*0.03086)/4</f>
        <v>7.47586586E-4</v>
      </c>
      <c r="H24" s="6"/>
      <c r="I24" s="6">
        <f>(3.14*0.03646*0.03646)/4</f>
        <v>1.0435253060000001E-3</v>
      </c>
      <c r="J24" s="6"/>
      <c r="K24" s="6">
        <f>(3.14*0.01677*0.01677)/4</f>
        <v>2.2076782650000003E-4</v>
      </c>
      <c r="L24" s="6">
        <f>(3.14*0.0079*0.0079)/4</f>
        <v>4.8991850000000018E-5</v>
      </c>
      <c r="M24" s="15"/>
      <c r="N24" s="15"/>
      <c r="O24" s="15"/>
      <c r="P24" s="14"/>
    </row>
    <row r="25" spans="1:16" hidden="1" x14ac:dyDescent="0.25">
      <c r="A25" s="18"/>
      <c r="B25" s="18"/>
      <c r="C25" s="18"/>
      <c r="D25" s="18"/>
      <c r="E25" s="18"/>
      <c r="F25" s="18"/>
      <c r="G25" s="6"/>
      <c r="H25" s="6"/>
      <c r="I25" s="6"/>
      <c r="J25" s="6"/>
      <c r="K25" s="6"/>
      <c r="L25" s="6"/>
      <c r="M25" s="15"/>
      <c r="N25" s="15"/>
      <c r="O25" s="15"/>
      <c r="P25" s="14"/>
    </row>
    <row r="26" spans="1:16" ht="1.5" hidden="1" customHeight="1" x14ac:dyDescent="0.25">
      <c r="A26" s="18" t="s">
        <v>8</v>
      </c>
      <c r="B26" s="18"/>
      <c r="C26" s="18" t="s">
        <v>10</v>
      </c>
      <c r="D26" s="18"/>
      <c r="E26" s="18"/>
      <c r="F26" s="18"/>
      <c r="G26" s="6"/>
      <c r="H26" s="6"/>
      <c r="I26" s="6"/>
      <c r="J26" s="6"/>
      <c r="K26" s="6"/>
      <c r="L26" s="6"/>
      <c r="M26" s="15"/>
      <c r="N26" s="15"/>
      <c r="O26" s="15"/>
      <c r="P26" s="14"/>
    </row>
    <row r="27" spans="1:16" hidden="1" x14ac:dyDescent="0.25">
      <c r="A27" s="18" t="s">
        <v>9</v>
      </c>
      <c r="B27" s="18"/>
      <c r="C27" s="18">
        <v>978.9</v>
      </c>
      <c r="D27" s="18" t="s">
        <v>11</v>
      </c>
      <c r="E27" s="18"/>
      <c r="F27" s="18"/>
      <c r="G27" s="6"/>
      <c r="H27" s="6"/>
      <c r="I27" s="6"/>
      <c r="J27" s="6"/>
      <c r="K27" s="6"/>
      <c r="L27" s="6"/>
      <c r="M27" s="15"/>
      <c r="N27" s="15"/>
      <c r="O27" s="15"/>
      <c r="P27" s="14"/>
    </row>
    <row r="28" spans="1:16" hidden="1" x14ac:dyDescent="0.25">
      <c r="A28" s="18">
        <v>40</v>
      </c>
      <c r="B28" s="18"/>
      <c r="C28" s="18">
        <v>946.8</v>
      </c>
      <c r="D28" s="18">
        <v>102.58499999999999</v>
      </c>
      <c r="E28" s="18"/>
      <c r="F28" s="18"/>
      <c r="G28" s="6"/>
      <c r="H28" s="6"/>
      <c r="I28" s="6"/>
      <c r="J28" s="6"/>
      <c r="K28" s="6"/>
      <c r="L28" s="6"/>
      <c r="M28" s="15"/>
      <c r="N28" s="15"/>
      <c r="O28" s="15"/>
      <c r="P28" s="14"/>
    </row>
    <row r="29" spans="1:16" hidden="1" x14ac:dyDescent="0.25">
      <c r="A29" s="18">
        <v>45</v>
      </c>
      <c r="B29" s="18"/>
      <c r="C29" s="18">
        <v>911.4</v>
      </c>
      <c r="D29" s="18">
        <v>119.08499999999999</v>
      </c>
      <c r="E29" s="18"/>
      <c r="F29" s="18"/>
      <c r="G29" s="7"/>
      <c r="H29" s="7"/>
      <c r="I29" s="6"/>
      <c r="J29" s="6"/>
      <c r="K29" s="6"/>
      <c r="L29" s="6"/>
      <c r="M29" s="15"/>
      <c r="N29" s="15"/>
      <c r="O29" s="15"/>
      <c r="P29" s="14"/>
    </row>
    <row r="30" spans="1:16" hidden="1" x14ac:dyDescent="0.25">
      <c r="A30" s="18">
        <v>50</v>
      </c>
      <c r="B30" s="18"/>
      <c r="C30" s="18">
        <v>871.5</v>
      </c>
      <c r="D30" s="18">
        <v>138.65</v>
      </c>
      <c r="E30" s="18"/>
      <c r="F30" s="18"/>
      <c r="G30" s="6"/>
      <c r="H30" s="6"/>
      <c r="I30" s="6"/>
      <c r="J30" s="6"/>
      <c r="K30" s="6"/>
      <c r="L30" s="6"/>
      <c r="M30" s="15"/>
      <c r="N30" s="15"/>
      <c r="O30" s="15"/>
      <c r="P30" s="14"/>
    </row>
    <row r="31" spans="1:16" hidden="1" x14ac:dyDescent="0.25">
      <c r="A31" s="18">
        <v>55</v>
      </c>
      <c r="B31" s="18"/>
      <c r="C31" s="18">
        <v>824.7</v>
      </c>
      <c r="D31" s="18">
        <v>162.25</v>
      </c>
      <c r="E31" s="18"/>
      <c r="F31" s="18"/>
      <c r="G31" s="6"/>
      <c r="H31" s="6"/>
      <c r="I31" s="6"/>
      <c r="J31" s="6"/>
      <c r="K31" s="6"/>
      <c r="L31" s="6"/>
      <c r="M31" s="15"/>
      <c r="N31" s="15"/>
      <c r="O31" s="15"/>
      <c r="P31" s="14"/>
    </row>
    <row r="32" spans="1:16" ht="4.5" hidden="1" customHeight="1" x14ac:dyDescent="0.25">
      <c r="A32" s="18">
        <v>60</v>
      </c>
      <c r="B32" s="18"/>
      <c r="C32" s="18"/>
      <c r="D32" s="18">
        <v>191.75700000000001</v>
      </c>
      <c r="E32" s="18"/>
      <c r="F32" s="18"/>
      <c r="G32" s="6"/>
      <c r="H32" s="6"/>
      <c r="I32" s="6"/>
      <c r="J32" s="6"/>
      <c r="K32" s="6"/>
      <c r="L32" s="6"/>
      <c r="M32" s="15"/>
      <c r="N32" s="15"/>
      <c r="O32" s="15"/>
      <c r="P32" s="14"/>
    </row>
    <row r="33" spans="1:16" hidden="1" x14ac:dyDescent="0.25">
      <c r="A33" s="18"/>
      <c r="B33" s="18"/>
      <c r="C33" s="18"/>
      <c r="D33" s="18"/>
      <c r="E33" s="18"/>
      <c r="F33" s="18"/>
      <c r="G33" s="6"/>
      <c r="H33" s="6"/>
      <c r="I33" s="6"/>
      <c r="J33" s="6"/>
      <c r="K33" s="6"/>
      <c r="L33" s="6"/>
      <c r="M33" s="15"/>
      <c r="N33" s="15"/>
      <c r="O33" s="15"/>
      <c r="P33" s="14"/>
    </row>
    <row r="34" spans="1:16" hidden="1" x14ac:dyDescent="0.25">
      <c r="A34" s="18"/>
      <c r="B34" s="18"/>
      <c r="C34" s="18"/>
      <c r="D34" s="18"/>
      <c r="E34" s="18"/>
      <c r="F34" s="18"/>
      <c r="G34" s="6"/>
      <c r="H34" s="6"/>
      <c r="I34" s="6"/>
      <c r="J34" s="6"/>
      <c r="K34" s="6"/>
      <c r="L34" s="6"/>
      <c r="M34" s="15"/>
      <c r="N34" s="15"/>
      <c r="O34" s="15"/>
      <c r="P34" s="14"/>
    </row>
    <row r="35" spans="1:16" hidden="1" x14ac:dyDescent="0.25">
      <c r="A35" s="18" t="s">
        <v>12</v>
      </c>
      <c r="B35" s="18"/>
      <c r="C35" s="18" t="s">
        <v>10</v>
      </c>
      <c r="D35" s="18"/>
      <c r="E35" s="18"/>
      <c r="F35" s="18"/>
      <c r="G35" s="6"/>
      <c r="H35" s="6"/>
      <c r="I35" s="6"/>
      <c r="J35" s="6"/>
      <c r="K35" s="6"/>
      <c r="L35" s="6"/>
      <c r="M35" s="15"/>
      <c r="N35" s="15"/>
      <c r="O35" s="15"/>
      <c r="P35" s="14"/>
    </row>
    <row r="36" spans="1:16" hidden="1" x14ac:dyDescent="0.25">
      <c r="A36" s="18" t="s">
        <v>9</v>
      </c>
      <c r="B36" s="18"/>
      <c r="C36" s="18">
        <v>1168.3</v>
      </c>
      <c r="D36" s="18" t="s">
        <v>11</v>
      </c>
      <c r="E36" s="18"/>
      <c r="F36" s="18"/>
      <c r="G36" s="6"/>
      <c r="H36" s="6"/>
      <c r="I36" s="6"/>
      <c r="J36" s="6"/>
      <c r="K36" s="6"/>
      <c r="L36" s="7"/>
      <c r="M36" s="15"/>
      <c r="N36" s="15"/>
      <c r="O36" s="15"/>
      <c r="P36" s="14"/>
    </row>
    <row r="37" spans="1:16" hidden="1" x14ac:dyDescent="0.25">
      <c r="A37" s="6">
        <v>2</v>
      </c>
      <c r="B37" s="6"/>
      <c r="C37" s="6">
        <v>1159.8</v>
      </c>
      <c r="D37" s="6">
        <v>32.67</v>
      </c>
      <c r="E37" s="6"/>
      <c r="F37" s="6"/>
      <c r="G37" s="7"/>
      <c r="H37" s="7"/>
      <c r="I37" s="6"/>
      <c r="J37" s="6"/>
      <c r="K37" s="6"/>
      <c r="L37" s="6"/>
      <c r="M37" s="15"/>
      <c r="N37" s="15"/>
      <c r="O37" s="15"/>
      <c r="P37" s="14"/>
    </row>
    <row r="38" spans="1:16" hidden="1" x14ac:dyDescent="0.25">
      <c r="A38" s="6">
        <v>4</v>
      </c>
      <c r="B38" s="6"/>
      <c r="C38" s="6">
        <v>1155.5</v>
      </c>
      <c r="D38" s="6">
        <v>34.82</v>
      </c>
      <c r="E38" s="6"/>
      <c r="F38" s="6"/>
      <c r="G38" s="6"/>
      <c r="H38" s="6"/>
      <c r="I38" s="6"/>
      <c r="J38" s="6"/>
      <c r="K38" s="6"/>
      <c r="L38" s="6"/>
      <c r="M38" s="15"/>
      <c r="N38" s="15"/>
      <c r="O38" s="15"/>
      <c r="P38" s="14"/>
    </row>
    <row r="39" spans="1:16" hidden="1" x14ac:dyDescent="0.25">
      <c r="A39" s="6">
        <v>5</v>
      </c>
      <c r="B39" s="6"/>
      <c r="C39" s="6">
        <v>1146.9000000000001</v>
      </c>
      <c r="D39" s="6">
        <v>35.93</v>
      </c>
      <c r="E39" s="6"/>
      <c r="F39" s="6"/>
      <c r="G39" s="6"/>
      <c r="H39" s="6"/>
      <c r="I39" s="6"/>
      <c r="J39" s="6"/>
      <c r="K39" s="6"/>
      <c r="L39" s="6"/>
      <c r="M39" s="15"/>
      <c r="N39" s="15"/>
      <c r="O39" s="15"/>
      <c r="P39" s="14"/>
    </row>
    <row r="40" spans="1:16" hidden="1" x14ac:dyDescent="0.25">
      <c r="A40" s="6">
        <v>7</v>
      </c>
      <c r="B40" s="6"/>
      <c r="C40" s="6">
        <v>1142.5</v>
      </c>
      <c r="D40" s="6">
        <v>38.25</v>
      </c>
      <c r="E40" s="6"/>
      <c r="F40" s="6"/>
      <c r="G40" s="6"/>
      <c r="H40" s="6"/>
      <c r="I40" s="6"/>
      <c r="J40" s="6"/>
      <c r="K40" s="6"/>
      <c r="L40" s="6"/>
      <c r="M40" s="15"/>
      <c r="N40" s="15"/>
      <c r="O40" s="15"/>
      <c r="P40" s="14"/>
    </row>
    <row r="41" spans="1:16" hidden="1" x14ac:dyDescent="0.25">
      <c r="A41" s="6">
        <v>8</v>
      </c>
      <c r="B41" s="6"/>
      <c r="C41" s="6">
        <v>1133.7</v>
      </c>
      <c r="D41" s="6">
        <v>39.46</v>
      </c>
      <c r="E41" s="6"/>
      <c r="F41" s="6"/>
      <c r="G41" s="6"/>
      <c r="H41" s="6"/>
      <c r="I41" s="6"/>
      <c r="J41" s="6"/>
      <c r="K41" s="6"/>
      <c r="L41" s="6"/>
      <c r="M41" s="15"/>
      <c r="N41" s="15"/>
      <c r="O41" s="15"/>
      <c r="P41" s="14"/>
    </row>
    <row r="42" spans="1:16" hidden="1" x14ac:dyDescent="0.25">
      <c r="A42" s="6">
        <v>10</v>
      </c>
      <c r="B42" s="6"/>
      <c r="C42" s="6"/>
      <c r="D42" s="6">
        <v>41.98</v>
      </c>
      <c r="E42" s="6"/>
      <c r="F42" s="6"/>
      <c r="G42" s="6"/>
      <c r="H42" s="6"/>
      <c r="I42" s="6"/>
      <c r="J42" s="6"/>
      <c r="K42" s="6"/>
      <c r="L42" s="6"/>
      <c r="M42" s="15"/>
      <c r="N42" s="15"/>
      <c r="O42" s="15"/>
      <c r="P42" s="14"/>
    </row>
    <row r="43" spans="1:16" hidden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15"/>
      <c r="N43" s="15"/>
      <c r="O43" s="15"/>
      <c r="P43" s="14"/>
    </row>
    <row r="44" spans="1:16" hidden="1" x14ac:dyDescent="0.25">
      <c r="A44" s="6"/>
      <c r="B44" s="6"/>
      <c r="C44" s="6">
        <v>40</v>
      </c>
      <c r="D44" s="6"/>
      <c r="E44" s="6"/>
      <c r="F44" s="6"/>
      <c r="G44" s="6"/>
      <c r="H44" s="6"/>
      <c r="I44" s="6"/>
      <c r="J44" s="6"/>
      <c r="K44" s="6"/>
      <c r="L44" s="6"/>
      <c r="M44" s="15"/>
      <c r="N44" s="15"/>
      <c r="O44" s="15"/>
      <c r="P44" s="14"/>
    </row>
    <row r="45" spans="1:16" hidden="1" x14ac:dyDescent="0.25">
      <c r="A45" s="6" t="s">
        <v>13</v>
      </c>
      <c r="B45" s="6"/>
      <c r="C45" s="7">
        <f>C27/C29</f>
        <v>1.0740618828176431</v>
      </c>
      <c r="D45" s="6">
        <v>45</v>
      </c>
      <c r="E45" s="6">
        <v>50</v>
      </c>
      <c r="F45" s="6">
        <v>55</v>
      </c>
      <c r="G45" s="6">
        <v>60</v>
      </c>
      <c r="H45" s="6"/>
      <c r="I45" s="6"/>
      <c r="J45" s="6"/>
      <c r="K45" s="6"/>
      <c r="L45" s="6"/>
      <c r="M45" s="15"/>
      <c r="N45" s="15"/>
      <c r="O45" s="15"/>
      <c r="P45" s="14"/>
    </row>
    <row r="46" spans="1:16" hidden="1" x14ac:dyDescent="0.25">
      <c r="A46" s="6" t="s">
        <v>14</v>
      </c>
      <c r="B46" s="8">
        <f>LOOKUP(B4,A28:A32,C46:G46)</f>
        <v>1</v>
      </c>
      <c r="C46" s="7">
        <f>C27/C29</f>
        <v>1.0740618828176431</v>
      </c>
      <c r="D46" s="7">
        <f>C28/C29</f>
        <v>1.0388413429888084</v>
      </c>
      <c r="E46" s="7">
        <f>C29/C29</f>
        <v>1</v>
      </c>
      <c r="F46" s="7">
        <f>C30/C29</f>
        <v>0.95622119815668205</v>
      </c>
      <c r="G46" s="7">
        <f>C31/C29</f>
        <v>0.90487162606978278</v>
      </c>
      <c r="H46" s="7"/>
      <c r="I46" s="6"/>
      <c r="J46" s="6"/>
      <c r="K46" s="6"/>
      <c r="L46" s="6"/>
      <c r="M46" s="15"/>
      <c r="N46" s="15"/>
      <c r="O46" s="15"/>
      <c r="P46" s="14"/>
    </row>
    <row r="47" spans="1:16" hidden="1" x14ac:dyDescent="0.25">
      <c r="A47" s="6" t="s">
        <v>15</v>
      </c>
      <c r="B47" s="7">
        <f>LOOKUP(B4,A28:A32,C47:G47)</f>
        <v>1</v>
      </c>
      <c r="C47" s="7">
        <f>D28/D30</f>
        <v>0.739884601514605</v>
      </c>
      <c r="D47" s="7">
        <f>D29/D30</f>
        <v>0.8588892895780742</v>
      </c>
      <c r="E47" s="7">
        <f>D30/D30</f>
        <v>1</v>
      </c>
      <c r="F47" s="7">
        <f>D31/D30</f>
        <v>1.1702127659574468</v>
      </c>
      <c r="G47" s="7">
        <f>D32/D30</f>
        <v>1.3830292102416155</v>
      </c>
      <c r="H47" s="7"/>
      <c r="I47" s="6"/>
      <c r="J47" s="6"/>
      <c r="K47" s="6"/>
      <c r="L47" s="6"/>
      <c r="M47" s="15"/>
      <c r="N47" s="15"/>
      <c r="O47" s="15"/>
      <c r="P47" s="14"/>
    </row>
    <row r="48" spans="1:16" hidden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15"/>
      <c r="N48" s="15"/>
      <c r="O48" s="15"/>
      <c r="P48" s="14"/>
    </row>
    <row r="49" spans="1:22" hidden="1" x14ac:dyDescent="0.25">
      <c r="A49" s="6"/>
      <c r="B49" s="6"/>
      <c r="C49" s="6">
        <v>2</v>
      </c>
      <c r="D49" s="6"/>
      <c r="E49" s="6"/>
      <c r="F49" s="6"/>
      <c r="G49" s="6"/>
      <c r="H49" s="6"/>
      <c r="I49" s="6"/>
      <c r="J49" s="6"/>
      <c r="K49" s="6"/>
      <c r="L49" s="6"/>
      <c r="M49" s="15"/>
      <c r="N49" s="15"/>
      <c r="O49" s="15"/>
      <c r="P49" s="14"/>
    </row>
    <row r="50" spans="1:22" hidden="1" x14ac:dyDescent="0.25">
      <c r="A50" s="6" t="s">
        <v>16</v>
      </c>
      <c r="B50" s="6"/>
      <c r="C50" s="7">
        <f>C36/C39</f>
        <v>1.0186589938093991</v>
      </c>
      <c r="D50" s="6">
        <v>4</v>
      </c>
      <c r="E50" s="6">
        <v>5</v>
      </c>
      <c r="F50" s="6">
        <v>7</v>
      </c>
      <c r="G50" s="6">
        <v>8</v>
      </c>
      <c r="H50" s="6"/>
      <c r="I50" s="6">
        <v>10</v>
      </c>
      <c r="J50" s="6"/>
      <c r="K50" s="6"/>
      <c r="L50" s="6"/>
      <c r="M50" s="15"/>
      <c r="N50" s="15"/>
      <c r="O50" s="15"/>
      <c r="P50" s="14"/>
    </row>
    <row r="51" spans="1:22" hidden="1" x14ac:dyDescent="0.25">
      <c r="A51" s="6" t="s">
        <v>17</v>
      </c>
      <c r="B51" s="7">
        <f ca="1">LOOKUP(B5,A37:A42,C51:I51)</f>
        <v>1</v>
      </c>
      <c r="C51" s="7">
        <f>C36/C39</f>
        <v>1.0186589938093991</v>
      </c>
      <c r="D51" s="7">
        <f>C37/C39</f>
        <v>1.0112477112215537</v>
      </c>
      <c r="E51" s="7">
        <f>C38/C39</f>
        <v>1.0074984741477024</v>
      </c>
      <c r="F51" s="7">
        <f>C39/C39</f>
        <v>1</v>
      </c>
      <c r="G51" s="7">
        <f>C40/C39</f>
        <v>0.99616357136629163</v>
      </c>
      <c r="H51" s="7"/>
      <c r="I51" s="7">
        <f>C41/C39</f>
        <v>0.98849071409887523</v>
      </c>
      <c r="J51" s="7"/>
      <c r="K51" s="6"/>
      <c r="L51" s="6"/>
      <c r="M51" s="15"/>
      <c r="N51" s="15"/>
      <c r="O51" s="15"/>
      <c r="P51" s="14"/>
    </row>
    <row r="52" spans="1:22" hidden="1" x14ac:dyDescent="0.25">
      <c r="A52" s="6" t="s">
        <v>18</v>
      </c>
      <c r="B52" s="7">
        <f ca="1">LOOKUP(B5,A37:A42,C52:I52)</f>
        <v>1</v>
      </c>
      <c r="C52" s="7">
        <f>D37/D40</f>
        <v>0.85411764705882354</v>
      </c>
      <c r="D52" s="7">
        <f>D38/D40</f>
        <v>0.91032679738562094</v>
      </c>
      <c r="E52" s="7">
        <f>D39/D40</f>
        <v>0.93934640522875812</v>
      </c>
      <c r="F52" s="7">
        <f>D40/D40</f>
        <v>1</v>
      </c>
      <c r="G52" s="7">
        <f>D41/D40</f>
        <v>1.0316339869281046</v>
      </c>
      <c r="H52" s="7"/>
      <c r="I52" s="7">
        <f>D42/D40</f>
        <v>1.0975163398692809</v>
      </c>
      <c r="J52" s="7"/>
      <c r="K52" s="6"/>
      <c r="L52" s="6"/>
      <c r="M52" s="15"/>
      <c r="N52" s="15"/>
      <c r="O52" s="15"/>
      <c r="P52" s="14"/>
    </row>
    <row r="53" spans="1:22" hidden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15"/>
      <c r="N53" s="15"/>
      <c r="O53" s="15"/>
      <c r="P53" s="14"/>
    </row>
    <row r="54" spans="1:22" hidden="1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5"/>
      <c r="N54" s="15"/>
      <c r="O54" s="15"/>
      <c r="P54" s="14"/>
    </row>
    <row r="55" spans="1:22" hidden="1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5"/>
      <c r="N55" s="15"/>
      <c r="O55" s="15"/>
      <c r="P55" s="14"/>
    </row>
    <row r="56" spans="1:22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5"/>
      <c r="N56" s="15"/>
      <c r="O56" s="15"/>
      <c r="P56" s="14"/>
    </row>
    <row r="57" spans="1:22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5"/>
      <c r="N57" s="15"/>
      <c r="O57" s="15"/>
    </row>
    <row r="58" spans="1:22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5"/>
      <c r="N58" s="15"/>
      <c r="O58" s="15"/>
    </row>
    <row r="59" spans="1:22" ht="16.5" thickBot="1" x14ac:dyDescent="0.3">
      <c r="A59" s="63" t="s">
        <v>35</v>
      </c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16"/>
      <c r="M59" s="15"/>
      <c r="N59" s="15"/>
      <c r="O59" s="15"/>
    </row>
    <row r="60" spans="1:22" x14ac:dyDescent="0.25">
      <c r="A60" s="27" t="s">
        <v>36</v>
      </c>
      <c r="B60" s="40" t="s">
        <v>37</v>
      </c>
      <c r="C60" s="40"/>
      <c r="D60" s="32" t="s">
        <v>38</v>
      </c>
      <c r="E60" s="40" t="s">
        <v>39</v>
      </c>
      <c r="F60" s="40" t="s">
        <v>40</v>
      </c>
      <c r="G60" s="40" t="s">
        <v>41</v>
      </c>
      <c r="H60" s="40" t="s">
        <v>87</v>
      </c>
      <c r="I60" s="40" t="s">
        <v>42</v>
      </c>
      <c r="J60" s="40" t="s">
        <v>85</v>
      </c>
      <c r="K60" s="40" t="s">
        <v>43</v>
      </c>
      <c r="L60" s="40" t="s">
        <v>44</v>
      </c>
      <c r="M60" s="40" t="s">
        <v>45</v>
      </c>
      <c r="N60" s="40" t="s">
        <v>46</v>
      </c>
      <c r="O60" s="53" t="s">
        <v>47</v>
      </c>
      <c r="P60" s="55" t="s">
        <v>66</v>
      </c>
      <c r="Q60" s="56" t="s">
        <v>67</v>
      </c>
      <c r="R60" s="56" t="s">
        <v>68</v>
      </c>
      <c r="S60" s="56" t="s">
        <v>69</v>
      </c>
      <c r="T60" s="56" t="s">
        <v>70</v>
      </c>
      <c r="U60" s="56" t="s">
        <v>71</v>
      </c>
      <c r="V60" s="57" t="s">
        <v>72</v>
      </c>
    </row>
    <row r="61" spans="1:22" ht="15.75" thickBot="1" x14ac:dyDescent="0.3">
      <c r="A61" s="28" t="s">
        <v>23</v>
      </c>
      <c r="B61" s="42">
        <v>0.95</v>
      </c>
      <c r="C61" s="42"/>
      <c r="D61" s="43">
        <v>1.4</v>
      </c>
      <c r="E61" s="42">
        <v>1.9</v>
      </c>
      <c r="F61" s="42">
        <v>2.8</v>
      </c>
      <c r="G61" s="42">
        <v>2.8</v>
      </c>
      <c r="H61" s="42">
        <v>6</v>
      </c>
      <c r="I61" s="42">
        <v>5.3</v>
      </c>
      <c r="J61" s="42">
        <v>6</v>
      </c>
      <c r="K61" s="42">
        <v>5.3</v>
      </c>
      <c r="L61" s="44">
        <v>8.8000000000000007</v>
      </c>
      <c r="M61" s="44">
        <v>7.8</v>
      </c>
      <c r="N61" s="44">
        <v>7.8</v>
      </c>
      <c r="O61" s="54" t="s">
        <v>77</v>
      </c>
      <c r="P61" s="58">
        <v>15.2</v>
      </c>
      <c r="Q61" s="45" t="s">
        <v>73</v>
      </c>
      <c r="R61" s="45" t="s">
        <v>74</v>
      </c>
      <c r="S61" s="45" t="s">
        <v>75</v>
      </c>
      <c r="T61" s="45" t="s">
        <v>76</v>
      </c>
      <c r="U61" s="45" t="s">
        <v>76</v>
      </c>
      <c r="V61" s="48" t="s">
        <v>76</v>
      </c>
    </row>
    <row r="62" spans="1:22" x14ac:dyDescent="0.25">
      <c r="A62" s="29"/>
      <c r="B62" s="29"/>
      <c r="C62" s="30"/>
      <c r="D62" s="9"/>
      <c r="E62" s="9"/>
      <c r="F62" s="9"/>
      <c r="G62" s="9"/>
      <c r="I62" s="9"/>
      <c r="K62" s="9"/>
      <c r="L62" s="9"/>
      <c r="M62" s="9"/>
      <c r="N62" s="9"/>
      <c r="O62" s="9"/>
    </row>
    <row r="63" spans="1:22" ht="16.5" thickBot="1" x14ac:dyDescent="0.3">
      <c r="A63" s="65" t="s">
        <v>48</v>
      </c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9"/>
      <c r="M63" s="9"/>
      <c r="N63" s="9"/>
      <c r="O63" s="9"/>
    </row>
    <row r="64" spans="1:22" x14ac:dyDescent="0.25">
      <c r="A64" s="49" t="s">
        <v>49</v>
      </c>
      <c r="B64" s="51" t="s">
        <v>50</v>
      </c>
      <c r="C64" s="31" t="s">
        <v>51</v>
      </c>
      <c r="D64" s="31" t="s">
        <v>52</v>
      </c>
      <c r="E64" s="31" t="s">
        <v>53</v>
      </c>
      <c r="F64" s="31" t="s">
        <v>54</v>
      </c>
      <c r="G64" s="31" t="s">
        <v>55</v>
      </c>
      <c r="H64" s="31" t="s">
        <v>88</v>
      </c>
      <c r="I64" s="31" t="s">
        <v>56</v>
      </c>
      <c r="J64" s="31" t="s">
        <v>86</v>
      </c>
      <c r="K64" s="31" t="s">
        <v>57</v>
      </c>
      <c r="L64" s="32" t="s">
        <v>58</v>
      </c>
      <c r="M64" s="32" t="s">
        <v>59</v>
      </c>
      <c r="N64" s="33" t="s">
        <v>60</v>
      </c>
      <c r="O64" s="33" t="s">
        <v>64</v>
      </c>
      <c r="P64" s="33" t="s">
        <v>81</v>
      </c>
    </row>
    <row r="65" spans="1:22" ht="15.75" thickBot="1" x14ac:dyDescent="0.3">
      <c r="A65" s="50" t="s">
        <v>22</v>
      </c>
      <c r="B65" s="52">
        <v>1.6</v>
      </c>
      <c r="C65" s="34"/>
      <c r="D65" s="45">
        <v>1.8</v>
      </c>
      <c r="E65" s="45">
        <v>3.4</v>
      </c>
      <c r="F65" s="45">
        <v>5.2</v>
      </c>
      <c r="G65" s="45">
        <v>5.2</v>
      </c>
      <c r="H65" s="45">
        <v>5.5</v>
      </c>
      <c r="I65" s="45">
        <v>7.5</v>
      </c>
      <c r="J65" s="45">
        <v>7.4</v>
      </c>
      <c r="K65" s="45">
        <v>7.5</v>
      </c>
      <c r="L65" s="46" t="s">
        <v>78</v>
      </c>
      <c r="M65" s="46" t="s">
        <v>79</v>
      </c>
      <c r="N65" s="47" t="s">
        <v>80</v>
      </c>
      <c r="O65" s="47" t="s">
        <v>65</v>
      </c>
      <c r="P65" s="47" t="s">
        <v>82</v>
      </c>
    </row>
    <row r="66" spans="1:22" x14ac:dyDescent="0.25">
      <c r="A66" s="29"/>
      <c r="B66" s="29"/>
      <c r="C66" s="35"/>
      <c r="D66" s="9"/>
      <c r="E66" s="9"/>
      <c r="F66" s="9"/>
      <c r="G66" s="9"/>
      <c r="I66" s="9"/>
      <c r="K66" s="9"/>
      <c r="L66" s="9"/>
      <c r="M66" s="9"/>
      <c r="N66" s="9"/>
      <c r="O66" s="9"/>
    </row>
    <row r="67" spans="1:22" ht="16.5" thickBot="1" x14ac:dyDescent="0.3">
      <c r="A67" s="36" t="s">
        <v>61</v>
      </c>
      <c r="B67" s="29"/>
      <c r="C67" s="35"/>
      <c r="D67" s="9"/>
      <c r="E67" s="9"/>
      <c r="F67" s="9"/>
      <c r="G67" s="9"/>
      <c r="I67" s="9"/>
      <c r="K67" s="9"/>
      <c r="L67" s="9"/>
      <c r="M67" s="9"/>
      <c r="N67" s="9"/>
      <c r="O67" s="9"/>
    </row>
    <row r="68" spans="1:22" x14ac:dyDescent="0.25">
      <c r="A68" s="27" t="s">
        <v>36</v>
      </c>
      <c r="B68" s="40" t="s">
        <v>37</v>
      </c>
      <c r="C68" s="40"/>
      <c r="D68" s="32" t="s">
        <v>38</v>
      </c>
      <c r="E68" s="40" t="s">
        <v>39</v>
      </c>
      <c r="F68" s="40" t="s">
        <v>40</v>
      </c>
      <c r="G68" s="40" t="s">
        <v>41</v>
      </c>
      <c r="H68" s="40" t="s">
        <v>87</v>
      </c>
      <c r="I68" s="40" t="s">
        <v>42</v>
      </c>
      <c r="J68" s="40" t="s">
        <v>85</v>
      </c>
      <c r="K68" s="40" t="s">
        <v>43</v>
      </c>
      <c r="L68" s="40" t="s">
        <v>44</v>
      </c>
      <c r="M68" s="40" t="s">
        <v>45</v>
      </c>
      <c r="N68" s="40" t="s">
        <v>46</v>
      </c>
      <c r="O68" s="41" t="s">
        <v>47</v>
      </c>
      <c r="P68" s="55" t="s">
        <v>66</v>
      </c>
      <c r="Q68" s="56" t="s">
        <v>67</v>
      </c>
      <c r="R68" s="56" t="s">
        <v>68</v>
      </c>
      <c r="S68" s="56" t="s">
        <v>69</v>
      </c>
      <c r="T68" s="56" t="s">
        <v>70</v>
      </c>
      <c r="U68" s="56" t="s">
        <v>71</v>
      </c>
      <c r="V68" s="57" t="s">
        <v>72</v>
      </c>
    </row>
    <row r="69" spans="1:22" ht="15.75" thickBot="1" x14ac:dyDescent="0.3">
      <c r="A69" s="28" t="s">
        <v>27</v>
      </c>
      <c r="B69" s="45">
        <v>5</v>
      </c>
      <c r="C69" s="45"/>
      <c r="D69" s="45">
        <v>5</v>
      </c>
      <c r="E69" s="45">
        <v>8</v>
      </c>
      <c r="F69" s="45">
        <v>12</v>
      </c>
      <c r="G69" s="45">
        <v>12</v>
      </c>
      <c r="H69" s="45">
        <v>12</v>
      </c>
      <c r="I69" s="45">
        <v>12</v>
      </c>
      <c r="J69" s="45">
        <v>12</v>
      </c>
      <c r="K69" s="45">
        <v>12</v>
      </c>
      <c r="L69" s="45">
        <v>22</v>
      </c>
      <c r="M69" s="45">
        <v>22</v>
      </c>
      <c r="N69" s="45">
        <v>30</v>
      </c>
      <c r="O69" s="48">
        <v>30</v>
      </c>
      <c r="P69" s="58" t="s">
        <v>83</v>
      </c>
      <c r="Q69" s="45" t="s">
        <v>89</v>
      </c>
      <c r="R69" s="45" t="s">
        <v>89</v>
      </c>
      <c r="S69" s="45" t="s">
        <v>84</v>
      </c>
      <c r="T69" s="45" t="s">
        <v>84</v>
      </c>
      <c r="U69" s="45" t="s">
        <v>84</v>
      </c>
      <c r="V69" s="48" t="s">
        <v>84</v>
      </c>
    </row>
    <row r="70" spans="1:22" x14ac:dyDescent="0.25">
      <c r="A70" s="9"/>
      <c r="B70" s="9"/>
      <c r="C70" s="9"/>
      <c r="D70" s="9"/>
      <c r="E70" s="9"/>
      <c r="F70" s="9"/>
      <c r="G70" s="9"/>
      <c r="I70" s="9"/>
      <c r="K70" s="9"/>
      <c r="L70" s="9"/>
      <c r="M70" s="9"/>
      <c r="N70" s="9"/>
      <c r="O70" s="9"/>
    </row>
    <row r="71" spans="1:22" ht="16.5" thickBot="1" x14ac:dyDescent="0.3">
      <c r="A71" s="36" t="s">
        <v>62</v>
      </c>
      <c r="B71" s="29"/>
      <c r="C71" s="35"/>
      <c r="D71" s="9"/>
      <c r="E71" s="9"/>
      <c r="F71" s="9"/>
      <c r="G71" s="9"/>
      <c r="I71" s="9"/>
      <c r="K71" s="9"/>
      <c r="L71" s="9"/>
      <c r="M71" s="9"/>
      <c r="N71" s="9"/>
      <c r="O71" s="9"/>
    </row>
    <row r="72" spans="1:22" x14ac:dyDescent="0.25">
      <c r="A72" s="27" t="s">
        <v>36</v>
      </c>
      <c r="B72" s="40" t="s">
        <v>37</v>
      </c>
      <c r="C72" s="40"/>
      <c r="D72" s="32" t="s">
        <v>38</v>
      </c>
      <c r="E72" s="40" t="s">
        <v>39</v>
      </c>
      <c r="F72" s="40" t="s">
        <v>40</v>
      </c>
      <c r="G72" s="40" t="s">
        <v>41</v>
      </c>
      <c r="H72" s="40" t="s">
        <v>87</v>
      </c>
      <c r="I72" s="40" t="s">
        <v>42</v>
      </c>
      <c r="J72" s="40" t="s">
        <v>85</v>
      </c>
      <c r="K72" s="40" t="s">
        <v>43</v>
      </c>
      <c r="L72" s="40" t="s">
        <v>44</v>
      </c>
      <c r="M72" s="40" t="s">
        <v>45</v>
      </c>
      <c r="N72" s="40" t="s">
        <v>46</v>
      </c>
      <c r="O72" s="41" t="s">
        <v>47</v>
      </c>
    </row>
    <row r="73" spans="1:22" ht="15.75" thickBot="1" x14ac:dyDescent="0.3">
      <c r="A73" s="28" t="s">
        <v>27</v>
      </c>
      <c r="B73" s="45">
        <v>5</v>
      </c>
      <c r="C73" s="45"/>
      <c r="D73" s="45">
        <v>8</v>
      </c>
      <c r="E73" s="45">
        <v>12</v>
      </c>
      <c r="F73" s="45">
        <v>12</v>
      </c>
      <c r="G73" s="45">
        <v>22</v>
      </c>
      <c r="H73" s="45">
        <v>22</v>
      </c>
      <c r="I73" s="45">
        <v>22</v>
      </c>
      <c r="J73" s="45">
        <v>22</v>
      </c>
      <c r="K73" s="45">
        <v>22</v>
      </c>
      <c r="L73" s="45">
        <v>22</v>
      </c>
      <c r="M73" s="45">
        <v>30</v>
      </c>
      <c r="N73" s="45">
        <v>30</v>
      </c>
      <c r="O73" s="48">
        <v>30</v>
      </c>
    </row>
  </sheetData>
  <sheetProtection algorithmName="SHA-512" hashValue="4ayI2KZ/WG7VT0RIErzEREri55ybJptPUH+nWJaKzoz8XMBefyAJ+/eFcEoDyK1z4OdQkqxtwpPHiRZerubifw==" saltValue="4qs8OdlS3docVaNPNJMkgg==" spinCount="100000" sheet="1" formatCells="0" formatColumns="0" formatRows="0" insertColumns="0" insertRows="0" insertHyperlinks="0" deleteColumns="0" deleteRows="0" sort="0" autoFilter="0" pivotTables="0"/>
  <mergeCells count="4">
    <mergeCell ref="A2:O2"/>
    <mergeCell ref="A1:O1"/>
    <mergeCell ref="A59:K59"/>
    <mergeCell ref="A63:K63"/>
  </mergeCells>
  <dataValidations count="3">
    <dataValidation type="list" allowBlank="1" showInputMessage="1" showErrorMessage="1" sqref="B5" xr:uid="{00000000-0002-0000-0100-000000000000}">
      <formula1>$A$37:$A$42</formula1>
    </dataValidation>
    <dataValidation type="list" allowBlank="1" showInputMessage="1" showErrorMessage="1" sqref="B4" xr:uid="{00000000-0002-0000-0100-000001000000}">
      <formula1>$A$28:$A$32</formula1>
    </dataValidation>
    <dataValidation type="list" allowBlank="1" showInputMessage="1" showErrorMessage="1" sqref="B6:B7" xr:uid="{00000000-0002-0000-0100-000002000000}">
      <formula1>$C$19:$L$19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Расчет</vt:lpstr>
      <vt:lpstr>Расчет!Диаметр</vt:lpstr>
      <vt:lpstr>Расчет!заправка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2024-09-20T07:54:59Z</dcterms:modified>
</cp:coreProperties>
</file>